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485" yWindow="525" windowWidth="12015" windowHeight="8760"/>
  </bookViews>
  <sheets>
    <sheet name="Лист1" sheetId="1" r:id="rId1"/>
    <sheet name="Лист2" sheetId="2" r:id="rId2"/>
    <sheet name="Лист3" sheetId="3" r:id="rId3"/>
  </sheets>
  <calcPr calcId="145621" fullPrecision="0"/>
</workbook>
</file>

<file path=xl/calcChain.xml><?xml version="1.0" encoding="utf-8"?>
<calcChain xmlns="http://schemas.openxmlformats.org/spreadsheetml/2006/main">
  <c r="H105" i="1" l="1"/>
  <c r="G105" i="1"/>
  <c r="I104" i="1"/>
  <c r="J104" i="1" s="1"/>
  <c r="I103" i="1"/>
  <c r="J103" i="1" s="1"/>
  <c r="I102" i="1"/>
  <c r="J102" i="1" s="1"/>
  <c r="I101" i="1"/>
  <c r="J101" i="1" s="1"/>
  <c r="F100" i="1"/>
  <c r="F105" i="1" s="1"/>
  <c r="I99" i="1"/>
  <c r="J99" i="1" s="1"/>
  <c r="I100" i="1" l="1"/>
  <c r="I105" i="1" s="1"/>
  <c r="J100" i="1" l="1"/>
  <c r="J105" i="1" s="1"/>
  <c r="AL31" i="1"/>
  <c r="AL32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26" i="1" l="1"/>
  <c r="D63" i="1" l="1"/>
  <c r="F33" i="1" l="1"/>
  <c r="G33" i="1" l="1"/>
  <c r="J33" i="1"/>
  <c r="AL33" i="1" s="1"/>
  <c r="L33" i="1"/>
  <c r="AL15" i="1" l="1"/>
  <c r="AL17" i="1"/>
  <c r="J34" i="1"/>
  <c r="AL34" i="1" s="1"/>
  <c r="K34" i="1"/>
  <c r="K33" i="1"/>
  <c r="J36" i="1"/>
  <c r="AL36" i="1" s="1"/>
  <c r="J38" i="1"/>
  <c r="AL38" i="1" s="1"/>
  <c r="J37" i="1"/>
  <c r="AL37" i="1" s="1"/>
  <c r="I35" i="1"/>
  <c r="K35" i="1" l="1"/>
  <c r="K39" i="1" s="1"/>
  <c r="J35" i="1"/>
  <c r="AL35" i="1" s="1"/>
  <c r="I39" i="1"/>
  <c r="Z6" i="1"/>
  <c r="AA6" i="1"/>
  <c r="AB7" i="1"/>
  <c r="AC7" i="1"/>
  <c r="Z8" i="1"/>
  <c r="AB8" i="1"/>
  <c r="AC8" i="1"/>
  <c r="J6" i="1"/>
  <c r="J8" i="1"/>
  <c r="J5" i="1"/>
  <c r="J16" i="1"/>
  <c r="AL16" i="1" s="1"/>
  <c r="Z11" i="1"/>
  <c r="AA11" i="1"/>
  <c r="AB11" i="1"/>
  <c r="AC11" i="1"/>
  <c r="AA10" i="1"/>
  <c r="AB10" i="1"/>
  <c r="AC10" i="1"/>
  <c r="Z10" i="1"/>
  <c r="O6" i="1"/>
  <c r="P6" i="1" s="1"/>
  <c r="AC6" i="1" s="1"/>
  <c r="I7" i="1"/>
  <c r="J7" i="1" s="1"/>
  <c r="I11" i="1"/>
  <c r="K11" i="1" s="1"/>
  <c r="I10" i="1"/>
  <c r="K10" i="1" s="1"/>
  <c r="I18" i="1" l="1"/>
  <c r="AB6" i="1"/>
  <c r="J11" i="1"/>
  <c r="M7" i="1"/>
  <c r="Z7" i="1" s="1"/>
  <c r="J10" i="1"/>
  <c r="I12" i="1"/>
  <c r="N7" i="1" l="1"/>
  <c r="AA7" i="1" s="1"/>
  <c r="L10" i="1"/>
  <c r="K5" i="1" l="1"/>
  <c r="N8" i="1"/>
  <c r="AA8" i="1" s="1"/>
  <c r="K6" i="1"/>
  <c r="L6" i="1" s="1"/>
  <c r="K7" i="1"/>
  <c r="K8" i="1"/>
  <c r="L8" i="1" s="1"/>
  <c r="L11" i="1"/>
  <c r="O5" i="1"/>
  <c r="AB5" i="1" s="1"/>
  <c r="N5" i="1"/>
  <c r="AA5" i="1" s="1"/>
  <c r="M5" i="1"/>
  <c r="Z5" i="1" s="1"/>
  <c r="N12" i="1" l="1"/>
  <c r="N13" i="1" s="1"/>
  <c r="P5" i="1"/>
  <c r="AC5" i="1" s="1"/>
  <c r="AI8" i="1"/>
  <c r="L5" i="1"/>
  <c r="L7" i="1"/>
  <c r="V8" i="1"/>
  <c r="J12" i="1"/>
  <c r="J13" i="1" s="1"/>
  <c r="J14" i="1" s="1"/>
  <c r="J18" i="1" s="1"/>
  <c r="AL18" i="1" s="1"/>
  <c r="M12" i="1"/>
  <c r="M13" i="1" s="1"/>
  <c r="M14" i="1" s="1"/>
  <c r="V7" i="1" l="1"/>
  <c r="AI7" i="1"/>
  <c r="AI10" i="1"/>
  <c r="AI11" i="1"/>
  <c r="O12" i="1"/>
  <c r="O13" i="1" s="1"/>
  <c r="O14" i="1" s="1"/>
  <c r="V6" i="1"/>
  <c r="AI6" i="1"/>
  <c r="V11" i="1"/>
  <c r="V10" i="1"/>
  <c r="V5" i="1"/>
  <c r="AI5" i="1"/>
  <c r="N14" i="1"/>
  <c r="V12" i="1" l="1"/>
  <c r="V13" i="1" s="1"/>
  <c r="V14" i="1" s="1"/>
  <c r="P12" i="1"/>
  <c r="P13" i="1" s="1"/>
  <c r="P14" i="1" s="1"/>
  <c r="I13" i="1"/>
  <c r="I14" i="1" s="1"/>
  <c r="Y7" i="1"/>
  <c r="AJ7" i="1"/>
  <c r="AK7" i="1" s="1"/>
  <c r="Y10" i="1"/>
  <c r="Y8" i="1"/>
  <c r="Y5" i="1"/>
  <c r="Y11" i="1"/>
  <c r="Y6" i="1"/>
  <c r="AJ6" i="1"/>
  <c r="AK6" i="1" s="1"/>
  <c r="AJ8" i="1"/>
  <c r="AJ10" i="1"/>
  <c r="AJ11" i="1"/>
  <c r="AL6" i="1" l="1"/>
  <c r="AL7" i="1"/>
  <c r="AK11" i="1"/>
  <c r="AK10" i="1"/>
  <c r="AL10" i="1" s="1"/>
  <c r="AK8" i="1"/>
  <c r="AC12" i="1"/>
  <c r="AC13" i="1" s="1"/>
  <c r="AC14" i="1" s="1"/>
  <c r="AB12" i="1"/>
  <c r="AB13" i="1" s="1"/>
  <c r="AB14" i="1" s="1"/>
  <c r="AA12" i="1"/>
  <c r="AA13" i="1" s="1"/>
  <c r="AA14" i="1" s="1"/>
  <c r="Z12" i="1"/>
  <c r="Y12" i="1"/>
  <c r="AL8" i="1" l="1"/>
  <c r="AL11" i="1"/>
  <c r="AI12" i="1"/>
  <c r="AI13" i="1" s="1"/>
  <c r="Z13" i="1"/>
  <c r="Z14" i="1" s="1"/>
  <c r="Y13" i="1"/>
  <c r="Y14" i="1" s="1"/>
  <c r="K12" i="1" l="1"/>
  <c r="K13" i="1" s="1"/>
  <c r="K14" i="1" s="1"/>
  <c r="AJ5" i="1"/>
  <c r="AJ12" i="1" l="1"/>
  <c r="AI14" i="1"/>
  <c r="L12" i="1"/>
  <c r="L13" i="1" s="1"/>
  <c r="L14" i="1" s="1"/>
  <c r="AJ13" i="1" l="1"/>
  <c r="AK5" i="1"/>
  <c r="AL5" i="1" s="1"/>
  <c r="AK12" i="1" l="1"/>
  <c r="AK13" i="1" s="1"/>
  <c r="AK14" i="1" s="1"/>
  <c r="AJ14" i="1"/>
  <c r="AL13" i="1" l="1"/>
  <c r="AL14" i="1"/>
  <c r="AL12" i="1"/>
  <c r="J39" i="1" l="1"/>
  <c r="AL39" i="1" s="1"/>
  <c r="G27" i="1" l="1"/>
  <c r="G28" i="1" l="1"/>
  <c r="G29" i="1" s="1"/>
  <c r="I55" i="1" l="1"/>
  <c r="AL55" i="1" s="1"/>
</calcChain>
</file>

<file path=xl/sharedStrings.xml><?xml version="1.0" encoding="utf-8"?>
<sst xmlns="http://schemas.openxmlformats.org/spreadsheetml/2006/main" count="72" uniqueCount="49">
  <si>
    <t>№ п/п</t>
  </si>
  <si>
    <t>Наименование работ</t>
  </si>
  <si>
    <t>Ед. изм.</t>
  </si>
  <si>
    <t>Объём СМР</t>
  </si>
  <si>
    <t>Цена работ СМР за ед., руб, вкл НДС 18%</t>
  </si>
  <si>
    <t>ГУ 5%</t>
  </si>
  <si>
    <t>Сроки выполнения работ</t>
  </si>
  <si>
    <t>проверка</t>
  </si>
  <si>
    <t>Декабрь'15</t>
  </si>
  <si>
    <t>начало (чч.мм.гг)</t>
  </si>
  <si>
    <t>окончание (чч.мм.гг)</t>
  </si>
  <si>
    <t xml:space="preserve"> НДС</t>
  </si>
  <si>
    <t xml:space="preserve">ВСЕГО без  НДС: </t>
  </si>
  <si>
    <t xml:space="preserve"> Авансовый платеж , руб., без  НДС*</t>
  </si>
  <si>
    <t>Оплата  по актам, руб., без НДС</t>
  </si>
  <si>
    <t xml:space="preserve">ВСЕГО с НДС: </t>
  </si>
  <si>
    <t>Выполнение по актам, руб., без НДС</t>
  </si>
  <si>
    <t xml:space="preserve">Воврат ГУ 50% в ноябрь 2016 </t>
  </si>
  <si>
    <t>Воврат ГУ 50% в май 2018</t>
  </si>
  <si>
    <t>Стоимость работ  Всего, руб, без НДС 18%</t>
  </si>
  <si>
    <t xml:space="preserve">Изготовление , доставка, сборка и монтаж  металлоконструкций вентиляционных шахт, огрунтованных и окрашенных </t>
  </si>
  <si>
    <t>Поставка, монтаж и натяжение стержней MacAlloy для перехода, включая поставку и монтаж необходимых пластин с установкой закладных деталей на отм. +4,225 в осях В6-В7/Г9-Г10 и на отметке +9,235 в осях В6-В7/Г9-Г10 (с их установкой на болты HILTI HSL-3 M20/60  - 32 шт на отм. +4,225 и болты HILTI HSL-3 M24/60  - 32 шт на отметке +9,235)</t>
  </si>
  <si>
    <t>КМ POS (демонтаж по оси В32 и монтаж по оси В13) Металлоконструкции фахверка перегородки</t>
  </si>
  <si>
    <t xml:space="preserve">СМР </t>
  </si>
  <si>
    <t>Поставка  стержней MacAlloy ТВ 520</t>
  </si>
  <si>
    <t>Поставка подвесной системы переходных мостиков</t>
  </si>
  <si>
    <t xml:space="preserve"> Монтаж подвесной системы переходных мостиков</t>
  </si>
  <si>
    <t>Материалы/оборудование</t>
  </si>
  <si>
    <t>СМР</t>
  </si>
  <si>
    <t>обор</t>
  </si>
  <si>
    <t xml:space="preserve">  поставкаМонтаж подвесной системы переходных мостиков</t>
  </si>
  <si>
    <t>установка металических анкерных пластин</t>
  </si>
  <si>
    <t>тн</t>
  </si>
  <si>
    <t>шт</t>
  </si>
  <si>
    <t>Оплата по актам, руб., без НДС</t>
  </si>
  <si>
    <t>График освоения и финансирования работ</t>
  </si>
  <si>
    <t>Заказчик</t>
  </si>
  <si>
    <t>Генеральный директор_____________________А.С. Савченко</t>
  </si>
  <si>
    <t>Подрядчик</t>
  </si>
  <si>
    <t>Цена работ СМР за ед., руб, без НДС 18%</t>
  </si>
  <si>
    <t xml:space="preserve">увеличение </t>
  </si>
  <si>
    <t xml:space="preserve">было </t>
  </si>
  <si>
    <t>Приложение № 5</t>
  </si>
  <si>
    <t>СМР металлоконструкций:</t>
  </si>
  <si>
    <t>комплекс</t>
  </si>
  <si>
    <t>Воврат ГУ  2017</t>
  </si>
  <si>
    <t>Воврат ГУ 2019</t>
  </si>
  <si>
    <t xml:space="preserve">к Договору №_____________________от «__» __________2017 г. </t>
  </si>
  <si>
    <t>Генеральный директор_____________________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</si>
</sst>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$-419]mmmm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2" fillId="6" borderId="4" xfId="0" applyNumberFormat="1" applyFont="1" applyFill="1" applyBorder="1" applyAlignment="1">
      <alignment horizontal="right"/>
    </xf>
    <xf numFmtId="4" fontId="2" fillId="6" borderId="3" xfId="0" applyNumberFormat="1" applyFont="1" applyFill="1" applyBorder="1" applyAlignment="1">
      <alignment horizontal="right"/>
    </xf>
    <xf numFmtId="4" fontId="2" fillId="6" borderId="16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/>
    </xf>
    <xf numFmtId="0" fontId="9" fillId="7" borderId="14" xfId="1" applyFont="1" applyFill="1" applyBorder="1" applyAlignment="1">
      <alignment horizontal="left" vertical="center"/>
    </xf>
    <xf numFmtId="0" fontId="9" fillId="7" borderId="9" xfId="1" applyFont="1" applyFill="1" applyBorder="1" applyAlignment="1">
      <alignment horizontal="left" vertical="center"/>
    </xf>
    <xf numFmtId="0" fontId="9" fillId="7" borderId="12" xfId="1" applyFont="1" applyFill="1" applyBorder="1" applyAlignment="1">
      <alignment horizontal="left" vertical="center"/>
    </xf>
    <xf numFmtId="15" fontId="11" fillId="0" borderId="4" xfId="0" applyNumberFormat="1" applyFont="1" applyBorder="1"/>
    <xf numFmtId="0" fontId="2" fillId="0" borderId="20" xfId="0" applyFont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wrapText="1"/>
    </xf>
    <xf numFmtId="4" fontId="2" fillId="8" borderId="4" xfId="0" applyNumberFormat="1" applyFont="1" applyFill="1" applyBorder="1" applyAlignment="1">
      <alignment horizontal="center"/>
    </xf>
    <xf numFmtId="165" fontId="5" fillId="8" borderId="4" xfId="0" applyNumberFormat="1" applyFont="1" applyFill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horizontal="center" vertical="center" wrapText="1"/>
    </xf>
    <xf numFmtId="0" fontId="8" fillId="8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/>
    </xf>
    <xf numFmtId="0" fontId="7" fillId="8" borderId="4" xfId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horizontal="center"/>
    </xf>
    <xf numFmtId="15" fontId="11" fillId="8" borderId="4" xfId="0" applyNumberFormat="1" applyFont="1" applyFill="1" applyBorder="1"/>
    <xf numFmtId="0" fontId="9" fillId="5" borderId="7" xfId="1" applyFont="1" applyFill="1" applyBorder="1" applyAlignment="1">
      <alignment vertical="center"/>
    </xf>
    <xf numFmtId="0" fontId="9" fillId="5" borderId="8" xfId="1" applyFont="1" applyFill="1" applyBorder="1" applyAlignment="1">
      <alignment vertical="center"/>
    </xf>
    <xf numFmtId="0" fontId="9" fillId="5" borderId="10" xfId="1" applyFont="1" applyFill="1" applyBorder="1" applyAlignment="1">
      <alignment vertical="center"/>
    </xf>
    <xf numFmtId="0" fontId="9" fillId="5" borderId="11" xfId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justify" vertical="center"/>
    </xf>
    <xf numFmtId="4" fontId="2" fillId="0" borderId="24" xfId="0" applyNumberFormat="1" applyFont="1" applyBorder="1" applyAlignment="1">
      <alignment horizontal="center"/>
    </xf>
    <xf numFmtId="0" fontId="14" fillId="9" borderId="1" xfId="0" applyFont="1" applyFill="1" applyBorder="1" applyAlignment="1">
      <alignment horizontal="center" wrapText="1"/>
    </xf>
    <xf numFmtId="0" fontId="14" fillId="9" borderId="5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3" fillId="0" borderId="0" xfId="0" applyFont="1"/>
    <xf numFmtId="0" fontId="15" fillId="0" borderId="0" xfId="0" applyFont="1" applyFill="1" applyAlignment="1">
      <alignment horizontal="right" vertical="center"/>
    </xf>
    <xf numFmtId="0" fontId="3" fillId="7" borderId="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4" fontId="2" fillId="8" borderId="16" xfId="0" applyNumberFormat="1" applyFont="1" applyFill="1" applyBorder="1" applyAlignment="1">
      <alignment horizontal="right"/>
    </xf>
    <xf numFmtId="4" fontId="2" fillId="8" borderId="4" xfId="0" applyNumberFormat="1" applyFont="1" applyFill="1" applyBorder="1" applyAlignment="1">
      <alignment horizontal="right"/>
    </xf>
    <xf numFmtId="4" fontId="2" fillId="8" borderId="3" xfId="0" applyNumberFormat="1" applyFont="1" applyFill="1" applyBorder="1" applyAlignment="1">
      <alignment horizontal="right"/>
    </xf>
    <xf numFmtId="0" fontId="16" fillId="0" borderId="0" xfId="0" applyFont="1"/>
    <xf numFmtId="4" fontId="16" fillId="0" borderId="0" xfId="0" applyNumberFormat="1" applyFont="1"/>
    <xf numFmtId="4" fontId="17" fillId="0" borderId="4" xfId="0" applyNumberFormat="1" applyFont="1" applyBorder="1" applyAlignment="1">
      <alignment horizontal="center"/>
    </xf>
    <xf numFmtId="0" fontId="16" fillId="0" borderId="0" xfId="0" applyFont="1" applyFill="1"/>
    <xf numFmtId="4" fontId="16" fillId="0" borderId="0" xfId="0" applyNumberFormat="1" applyFont="1" applyFill="1"/>
    <xf numFmtId="4" fontId="19" fillId="0" borderId="4" xfId="0" applyNumberFormat="1" applyFont="1" applyFill="1" applyBorder="1"/>
    <xf numFmtId="4" fontId="10" fillId="7" borderId="4" xfId="0" applyNumberFormat="1" applyFont="1" applyFill="1" applyBorder="1" applyAlignment="1">
      <alignment horizontal="center"/>
    </xf>
    <xf numFmtId="4" fontId="2" fillId="7" borderId="4" xfId="0" applyNumberFormat="1" applyFont="1" applyFill="1" applyBorder="1" applyAlignment="1">
      <alignment horizontal="center"/>
    </xf>
    <xf numFmtId="4" fontId="2" fillId="7" borderId="9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 wrapText="1"/>
    </xf>
    <xf numFmtId="2" fontId="5" fillId="3" borderId="18" xfId="0" applyNumberFormat="1" applyFont="1" applyFill="1" applyBorder="1" applyAlignment="1">
      <alignment horizontal="center" vertical="center" wrapText="1"/>
    </xf>
    <xf numFmtId="2" fontId="5" fillId="3" borderId="19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9" fillId="5" borderId="10" xfId="1" applyFont="1" applyFill="1" applyBorder="1" applyAlignment="1">
      <alignment horizontal="left" vertical="center"/>
    </xf>
    <xf numFmtId="0" fontId="9" fillId="5" borderId="11" xfId="1" applyFont="1" applyFill="1" applyBorder="1" applyAlignment="1">
      <alignment horizontal="left" vertical="center"/>
    </xf>
    <xf numFmtId="0" fontId="9" fillId="5" borderId="12" xfId="1" applyFont="1" applyFill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8" fillId="0" borderId="28" xfId="0" applyFont="1" applyBorder="1" applyAlignment="1">
      <alignment horizontal="center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9" fillId="5" borderId="15" xfId="1" applyFont="1" applyFill="1" applyBorder="1" applyAlignment="1">
      <alignment horizontal="left" vertical="center"/>
    </xf>
    <xf numFmtId="0" fontId="9" fillId="5" borderId="13" xfId="1" applyFont="1" applyFill="1" applyBorder="1" applyAlignment="1">
      <alignment horizontal="left" vertical="center"/>
    </xf>
    <xf numFmtId="0" fontId="9" fillId="5" borderId="14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 vertical="center"/>
    </xf>
    <xf numFmtId="0" fontId="9" fillId="5" borderId="8" xfId="1" applyFont="1" applyFill="1" applyBorder="1" applyAlignment="1">
      <alignment horizontal="left" vertical="center"/>
    </xf>
    <xf numFmtId="0" fontId="9" fillId="5" borderId="9" xfId="1" applyFont="1" applyFill="1" applyBorder="1" applyAlignment="1">
      <alignment horizontal="left" vertical="center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0"/>
  <sheetViews>
    <sheetView tabSelected="1" topLeftCell="B19" zoomScaleNormal="100" workbookViewId="0">
      <selection activeCell="D88" sqref="D88"/>
    </sheetView>
  </sheetViews>
  <sheetFormatPr defaultRowHeight="15" x14ac:dyDescent="0.25"/>
  <cols>
    <col min="1" max="1" width="0" hidden="1" customWidth="1"/>
    <col min="3" max="3" width="85.7109375" customWidth="1"/>
    <col min="4" max="4" width="16.28515625" customWidth="1"/>
    <col min="5" max="5" width="10.7109375" customWidth="1"/>
    <col min="6" max="6" width="20.42578125" customWidth="1"/>
    <col min="7" max="8" width="18.28515625" hidden="1" customWidth="1"/>
    <col min="9" max="9" width="17.7109375" customWidth="1"/>
    <col min="10" max="10" width="16.85546875" hidden="1" customWidth="1"/>
    <col min="11" max="12" width="16.42578125" customWidth="1"/>
    <col min="13" max="13" width="14.5703125" hidden="1" customWidth="1"/>
    <col min="14" max="14" width="14.85546875" hidden="1" customWidth="1"/>
    <col min="15" max="15" width="14.28515625" hidden="1" customWidth="1"/>
    <col min="16" max="20" width="15.42578125" hidden="1" customWidth="1"/>
    <col min="21" max="21" width="15.42578125" customWidth="1"/>
    <col min="22" max="22" width="20.42578125" customWidth="1"/>
    <col min="23" max="23" width="11.28515625" customWidth="1"/>
    <col min="24" max="24" width="13.42578125" customWidth="1"/>
    <col min="25" max="25" width="25.140625" hidden="1" customWidth="1"/>
    <col min="26" max="26" width="14.85546875" hidden="1" customWidth="1"/>
    <col min="27" max="31" width="14.42578125" hidden="1" customWidth="1"/>
    <col min="32" max="33" width="15.5703125" hidden="1" customWidth="1"/>
    <col min="34" max="34" width="15.5703125" customWidth="1"/>
    <col min="35" max="35" width="15.42578125" customWidth="1"/>
    <col min="36" max="36" width="13.5703125" customWidth="1"/>
    <col min="37" max="37" width="14" customWidth="1"/>
    <col min="38" max="38" width="24.7109375" hidden="1" customWidth="1"/>
    <col min="39" max="40" width="9.140625" customWidth="1"/>
  </cols>
  <sheetData>
    <row r="1" spans="2:38" hidden="1" x14ac:dyDescent="0.25"/>
    <row r="2" spans="2:38" ht="71.25" hidden="1" customHeight="1" x14ac:dyDescent="0.25">
      <c r="B2" s="91" t="s">
        <v>0</v>
      </c>
      <c r="C2" s="91" t="s">
        <v>1</v>
      </c>
      <c r="D2" s="91" t="s">
        <v>2</v>
      </c>
      <c r="E2" s="91" t="s">
        <v>3</v>
      </c>
      <c r="F2" s="93" t="s">
        <v>4</v>
      </c>
      <c r="G2" s="18"/>
      <c r="H2" s="18"/>
      <c r="I2" s="93" t="s">
        <v>19</v>
      </c>
      <c r="J2" s="1" t="s">
        <v>13</v>
      </c>
      <c r="K2" s="74" t="s">
        <v>5</v>
      </c>
      <c r="L2" s="74" t="s">
        <v>14</v>
      </c>
      <c r="M2" s="76" t="s">
        <v>16</v>
      </c>
      <c r="N2" s="77"/>
      <c r="O2" s="77"/>
      <c r="P2" s="77"/>
      <c r="Q2" s="77"/>
      <c r="R2" s="77"/>
      <c r="S2" s="77"/>
      <c r="T2" s="77"/>
      <c r="U2" s="77"/>
      <c r="V2" s="78"/>
      <c r="W2" s="79" t="s">
        <v>6</v>
      </c>
      <c r="X2" s="79"/>
      <c r="Y2" s="80" t="s">
        <v>7</v>
      </c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3" t="s">
        <v>17</v>
      </c>
      <c r="AK2" s="70" t="s">
        <v>18</v>
      </c>
    </row>
    <row r="3" spans="2:38" ht="49.5" hidden="1" customHeight="1" x14ac:dyDescent="0.25">
      <c r="B3" s="92"/>
      <c r="C3" s="92"/>
      <c r="D3" s="92"/>
      <c r="E3" s="92"/>
      <c r="F3" s="94"/>
      <c r="G3" s="19"/>
      <c r="H3" s="19"/>
      <c r="I3" s="94"/>
      <c r="J3" s="2" t="s">
        <v>8</v>
      </c>
      <c r="K3" s="75"/>
      <c r="L3" s="75"/>
      <c r="M3" s="3">
        <v>42370</v>
      </c>
      <c r="N3" s="3">
        <v>42401</v>
      </c>
      <c r="O3" s="3">
        <v>42430</v>
      </c>
      <c r="P3" s="3">
        <v>42461</v>
      </c>
      <c r="Q3" s="3"/>
      <c r="R3" s="3"/>
      <c r="S3" s="3"/>
      <c r="T3" s="3"/>
      <c r="U3" s="3"/>
      <c r="V3" s="4">
        <v>2016</v>
      </c>
      <c r="W3" s="5" t="s">
        <v>9</v>
      </c>
      <c r="X3" s="5" t="s">
        <v>10</v>
      </c>
      <c r="Y3" s="81"/>
      <c r="Z3" s="6">
        <v>42401</v>
      </c>
      <c r="AA3" s="6">
        <v>42430</v>
      </c>
      <c r="AB3" s="6">
        <v>42461</v>
      </c>
      <c r="AC3" s="6">
        <v>42491</v>
      </c>
      <c r="AD3" s="6"/>
      <c r="AE3" s="6"/>
      <c r="AF3" s="6"/>
      <c r="AG3" s="6"/>
      <c r="AH3" s="6"/>
      <c r="AI3" s="7">
        <v>2016</v>
      </c>
      <c r="AJ3" s="84"/>
      <c r="AK3" s="71"/>
    </row>
    <row r="4" spans="2:38" ht="49.5" hidden="1" customHeight="1" x14ac:dyDescent="0.25">
      <c r="B4" s="26"/>
      <c r="C4" s="26" t="s">
        <v>23</v>
      </c>
      <c r="D4" s="26"/>
      <c r="E4" s="26"/>
      <c r="F4" s="27"/>
      <c r="G4" s="27"/>
      <c r="H4" s="27"/>
      <c r="I4" s="28"/>
      <c r="J4" s="29"/>
      <c r="K4" s="30"/>
      <c r="L4" s="30"/>
      <c r="M4" s="29"/>
      <c r="N4" s="29"/>
      <c r="O4" s="29"/>
      <c r="P4" s="29"/>
      <c r="Q4" s="29"/>
      <c r="R4" s="29"/>
      <c r="S4" s="29"/>
      <c r="T4" s="29"/>
      <c r="U4" s="29"/>
      <c r="V4" s="31"/>
      <c r="W4" s="32"/>
      <c r="X4" s="32"/>
      <c r="Y4" s="33"/>
      <c r="Z4" s="29"/>
      <c r="AA4" s="29"/>
      <c r="AB4" s="29"/>
      <c r="AC4" s="29"/>
      <c r="AD4" s="29"/>
      <c r="AE4" s="29"/>
      <c r="AF4" s="29"/>
      <c r="AG4" s="29"/>
      <c r="AH4" s="29"/>
      <c r="AI4" s="31"/>
      <c r="AJ4" s="34"/>
      <c r="AK4" s="34"/>
    </row>
    <row r="5" spans="2:38" ht="53.25" hidden="1" customHeight="1" x14ac:dyDescent="0.25">
      <c r="B5" s="12">
        <v>1</v>
      </c>
      <c r="C5" s="13" t="s">
        <v>20</v>
      </c>
      <c r="D5" s="12"/>
      <c r="E5" s="12"/>
      <c r="F5" s="14"/>
      <c r="G5" s="20">
        <v>1</v>
      </c>
      <c r="H5" s="20"/>
      <c r="I5" s="15">
        <v>10114944</v>
      </c>
      <c r="J5" s="15">
        <f>I5*37%</f>
        <v>3742529.28</v>
      </c>
      <c r="K5" s="15">
        <f>I5*5%</f>
        <v>505747.20000000001</v>
      </c>
      <c r="L5" s="15">
        <f>I5-J5-K5</f>
        <v>5866667.5199999996</v>
      </c>
      <c r="M5" s="15">
        <f>I5/4</f>
        <v>2528736</v>
      </c>
      <c r="N5" s="15">
        <f>I5/4</f>
        <v>2528736</v>
      </c>
      <c r="O5" s="15">
        <f>I5/4</f>
        <v>2528736</v>
      </c>
      <c r="P5" s="15">
        <f>I5-M5-N5-O5</f>
        <v>2528736</v>
      </c>
      <c r="Q5" s="15"/>
      <c r="R5" s="15"/>
      <c r="S5" s="15"/>
      <c r="T5" s="15"/>
      <c r="U5" s="15"/>
      <c r="V5" s="16">
        <f>M5+N5+O5+P5</f>
        <v>10114944</v>
      </c>
      <c r="W5" s="24">
        <v>42373</v>
      </c>
      <c r="X5" s="24">
        <v>42463</v>
      </c>
      <c r="Y5" s="15">
        <f>I5-V5</f>
        <v>0</v>
      </c>
      <c r="Z5" s="15">
        <f t="shared" ref="Z5:AC6" si="0">M5-(M5*42%)</f>
        <v>1466666.88</v>
      </c>
      <c r="AA5" s="15">
        <f t="shared" si="0"/>
        <v>1466666.88</v>
      </c>
      <c r="AB5" s="15">
        <f t="shared" si="0"/>
        <v>1466666.88</v>
      </c>
      <c r="AC5" s="15">
        <f t="shared" si="0"/>
        <v>1466666.88</v>
      </c>
      <c r="AD5" s="15"/>
      <c r="AE5" s="15"/>
      <c r="AF5" s="15"/>
      <c r="AG5" s="15"/>
      <c r="AH5" s="15"/>
      <c r="AI5" s="17">
        <f>Z5+AA5+AB5+AC5</f>
        <v>5866667.5199999996</v>
      </c>
      <c r="AJ5" s="15">
        <f>ROUND(K5/2,2)</f>
        <v>252873.60000000001</v>
      </c>
      <c r="AK5" s="15">
        <f>K5-AJ5</f>
        <v>252873.60000000001</v>
      </c>
      <c r="AL5" s="8">
        <f>I5-AI5-AJ5-AK5-J5</f>
        <v>0</v>
      </c>
    </row>
    <row r="6" spans="2:38" ht="37.5" hidden="1" customHeight="1" x14ac:dyDescent="0.25">
      <c r="B6" s="12">
        <v>2</v>
      </c>
      <c r="C6" s="13" t="s">
        <v>26</v>
      </c>
      <c r="D6" s="12"/>
      <c r="E6" s="12"/>
      <c r="F6" s="14"/>
      <c r="G6" s="20">
        <v>2</v>
      </c>
      <c r="H6" s="20"/>
      <c r="I6" s="15">
        <v>6122391.1299999999</v>
      </c>
      <c r="J6" s="15">
        <f t="shared" ref="J6:J8" si="1">I6*37%</f>
        <v>2265284.7200000002</v>
      </c>
      <c r="K6" s="15">
        <f t="shared" ref="K6:K11" si="2">I6*5%</f>
        <v>306119.56</v>
      </c>
      <c r="L6" s="15">
        <f t="shared" ref="L6:L11" si="3">I6-J6-K6</f>
        <v>3550986.85</v>
      </c>
      <c r="M6" s="15"/>
      <c r="N6" s="15"/>
      <c r="O6" s="15">
        <f>I6/2</f>
        <v>3061195.57</v>
      </c>
      <c r="P6" s="15">
        <f>I6-O6</f>
        <v>3061195.56</v>
      </c>
      <c r="Q6" s="15"/>
      <c r="R6" s="15"/>
      <c r="S6" s="15"/>
      <c r="T6" s="15"/>
      <c r="U6" s="15"/>
      <c r="V6" s="16">
        <f>M6+N6+O6+P6</f>
        <v>6122391.1299999999</v>
      </c>
      <c r="W6" s="24">
        <v>42373</v>
      </c>
      <c r="X6" s="24">
        <v>42490</v>
      </c>
      <c r="Y6" s="15">
        <f>I6-V6</f>
        <v>0</v>
      </c>
      <c r="Z6" s="15">
        <f t="shared" si="0"/>
        <v>0</v>
      </c>
      <c r="AA6" s="15">
        <f t="shared" si="0"/>
        <v>0</v>
      </c>
      <c r="AB6" s="15">
        <f t="shared" si="0"/>
        <v>1775493.43</v>
      </c>
      <c r="AC6" s="15">
        <f t="shared" si="0"/>
        <v>1775493.42</v>
      </c>
      <c r="AD6" s="15"/>
      <c r="AE6" s="15"/>
      <c r="AF6" s="15"/>
      <c r="AG6" s="15"/>
      <c r="AH6" s="15"/>
      <c r="AI6" s="17">
        <f t="shared" ref="AI6:AI11" si="4">Z6+AA6+AB6+AC6</f>
        <v>3550986.85</v>
      </c>
      <c r="AJ6" s="15">
        <f>ROUND(K6/2,2)</f>
        <v>153059.78</v>
      </c>
      <c r="AK6" s="15">
        <f>K6-AJ6</f>
        <v>153059.78</v>
      </c>
      <c r="AL6" s="8">
        <f>I6-AI6-AJ6-AK6-J6</f>
        <v>0</v>
      </c>
    </row>
    <row r="7" spans="2:38" ht="97.5" hidden="1" customHeight="1" thickBot="1" x14ac:dyDescent="0.3">
      <c r="B7" s="12">
        <v>3</v>
      </c>
      <c r="C7" s="13" t="s">
        <v>21</v>
      </c>
      <c r="D7" s="12"/>
      <c r="E7" s="12"/>
      <c r="F7" s="14"/>
      <c r="G7" s="20">
        <v>10</v>
      </c>
      <c r="H7" s="20"/>
      <c r="I7" s="15">
        <f>800000+229355+6491200-533938.66</f>
        <v>6986616.3399999999</v>
      </c>
      <c r="J7" s="15">
        <f t="shared" si="1"/>
        <v>2585048.0499999998</v>
      </c>
      <c r="K7" s="15">
        <f t="shared" si="2"/>
        <v>349330.82</v>
      </c>
      <c r="L7" s="15">
        <f t="shared" si="3"/>
        <v>4052237.47</v>
      </c>
      <c r="M7" s="15">
        <f>I7/2</f>
        <v>3493308.17</v>
      </c>
      <c r="N7" s="15">
        <f>I7-M7</f>
        <v>3493308.17</v>
      </c>
      <c r="O7" s="15"/>
      <c r="P7" s="15"/>
      <c r="Q7" s="15"/>
      <c r="R7" s="15"/>
      <c r="S7" s="15"/>
      <c r="T7" s="15"/>
      <c r="U7" s="15"/>
      <c r="V7" s="16">
        <f>M7+N7+O7+P7</f>
        <v>6986616.3399999999</v>
      </c>
      <c r="W7" s="24">
        <v>42373</v>
      </c>
      <c r="X7" s="24">
        <v>42426</v>
      </c>
      <c r="Y7" s="15">
        <f>I7-V7</f>
        <v>0</v>
      </c>
      <c r="Z7" s="15">
        <f>M7-(M7*42%)</f>
        <v>2026118.74</v>
      </c>
      <c r="AA7" s="15">
        <f>N7-(N7*42%)-0.01</f>
        <v>2026118.73</v>
      </c>
      <c r="AB7" s="15">
        <f>O7-(O7*42%)</f>
        <v>0</v>
      </c>
      <c r="AC7" s="15">
        <f>P7-(P7*42%)</f>
        <v>0</v>
      </c>
      <c r="AD7" s="15"/>
      <c r="AE7" s="15"/>
      <c r="AF7" s="15"/>
      <c r="AG7" s="15"/>
      <c r="AH7" s="15"/>
      <c r="AI7" s="17">
        <f t="shared" si="4"/>
        <v>4052237.47</v>
      </c>
      <c r="AJ7" s="15">
        <f>ROUND(K7/2,2)</f>
        <v>174665.41</v>
      </c>
      <c r="AK7" s="15">
        <f>K7-AJ7</f>
        <v>174665.41</v>
      </c>
      <c r="AL7" s="8">
        <f>I7-AI7-AJ7-AK7-J7</f>
        <v>0</v>
      </c>
    </row>
    <row r="8" spans="2:38" ht="47.25" hidden="1" customHeight="1" thickBot="1" x14ac:dyDescent="0.3">
      <c r="B8" s="12">
        <v>4</v>
      </c>
      <c r="C8" s="25" t="s">
        <v>22</v>
      </c>
      <c r="D8" s="12"/>
      <c r="E8" s="12"/>
      <c r="F8" s="14"/>
      <c r="G8" s="20">
        <v>3</v>
      </c>
      <c r="H8" s="20"/>
      <c r="I8" s="15">
        <v>396602.37</v>
      </c>
      <c r="J8" s="15">
        <f t="shared" si="1"/>
        <v>146742.88</v>
      </c>
      <c r="K8" s="15">
        <f t="shared" si="2"/>
        <v>19830.12</v>
      </c>
      <c r="L8" s="15">
        <f t="shared" si="3"/>
        <v>230029.37</v>
      </c>
      <c r="M8" s="15">
        <v>396602.37</v>
      </c>
      <c r="N8" s="15">
        <f>I8-M8</f>
        <v>0</v>
      </c>
      <c r="O8" s="15"/>
      <c r="P8" s="15"/>
      <c r="Q8" s="15"/>
      <c r="R8" s="15"/>
      <c r="S8" s="15"/>
      <c r="T8" s="15"/>
      <c r="U8" s="15"/>
      <c r="V8" s="16">
        <f>M8+N8+O8+P8</f>
        <v>396602.37</v>
      </c>
      <c r="W8" s="24">
        <v>42373</v>
      </c>
      <c r="X8" s="24">
        <v>42399</v>
      </c>
      <c r="Y8" s="15">
        <f>I8-V8</f>
        <v>0</v>
      </c>
      <c r="Z8" s="15">
        <f>M8-(M8*42%)</f>
        <v>230029.37</v>
      </c>
      <c r="AA8" s="15">
        <f>N8-(N8*42%)</f>
        <v>0</v>
      </c>
      <c r="AB8" s="15">
        <f>O8-(O8*42%)</f>
        <v>0</v>
      </c>
      <c r="AC8" s="15">
        <f>P8-(P8*42%)</f>
        <v>0</v>
      </c>
      <c r="AD8" s="15"/>
      <c r="AE8" s="15"/>
      <c r="AF8" s="15"/>
      <c r="AG8" s="15"/>
      <c r="AH8" s="15"/>
      <c r="AI8" s="17">
        <f t="shared" si="4"/>
        <v>230029.37</v>
      </c>
      <c r="AJ8" s="15">
        <f>ROUND(K8/2,2)</f>
        <v>9915.06</v>
      </c>
      <c r="AK8" s="15">
        <f>K8-AJ8</f>
        <v>9915.06</v>
      </c>
      <c r="AL8" s="8">
        <f>I8-AI8-AJ8-AK8-J8</f>
        <v>0</v>
      </c>
    </row>
    <row r="9" spans="2:38" ht="47.25" hidden="1" customHeight="1" x14ac:dyDescent="0.25">
      <c r="B9" s="35"/>
      <c r="C9" s="36" t="s">
        <v>27</v>
      </c>
      <c r="D9" s="35"/>
      <c r="E9" s="35"/>
      <c r="F9" s="37"/>
      <c r="G9" s="37"/>
      <c r="H9" s="37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38"/>
      <c r="X9" s="3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8"/>
    </row>
    <row r="10" spans="2:38" ht="15.75" hidden="1" x14ac:dyDescent="0.25">
      <c r="B10" s="12">
        <v>5</v>
      </c>
      <c r="C10" s="13" t="s">
        <v>24</v>
      </c>
      <c r="D10" s="12"/>
      <c r="E10" s="12"/>
      <c r="F10" s="14"/>
      <c r="G10" s="20">
        <v>16</v>
      </c>
      <c r="H10" s="20"/>
      <c r="I10" s="15">
        <f>13500*80</f>
        <v>1080000</v>
      </c>
      <c r="J10" s="15">
        <f>I10*90%</f>
        <v>972000</v>
      </c>
      <c r="K10" s="15">
        <f t="shared" si="2"/>
        <v>54000</v>
      </c>
      <c r="L10" s="15">
        <f t="shared" si="3"/>
        <v>54000</v>
      </c>
      <c r="M10" s="15"/>
      <c r="N10" s="15">
        <v>1080000</v>
      </c>
      <c r="O10" s="15"/>
      <c r="P10" s="15"/>
      <c r="Q10" s="15"/>
      <c r="R10" s="15"/>
      <c r="S10" s="15"/>
      <c r="T10" s="15"/>
      <c r="U10" s="15"/>
      <c r="V10" s="16">
        <f>M10+N10+O10+P10</f>
        <v>1080000</v>
      </c>
      <c r="W10" s="24">
        <v>42373</v>
      </c>
      <c r="X10" s="24">
        <v>42426</v>
      </c>
      <c r="Y10" s="15">
        <f>I10-V10</f>
        <v>0</v>
      </c>
      <c r="Z10" s="15">
        <f t="shared" ref="Z10:AC11" si="5">M10-(M10*95%)</f>
        <v>0</v>
      </c>
      <c r="AA10" s="15">
        <f t="shared" si="5"/>
        <v>54000</v>
      </c>
      <c r="AB10" s="15">
        <f t="shared" si="5"/>
        <v>0</v>
      </c>
      <c r="AC10" s="15">
        <f t="shared" si="5"/>
        <v>0</v>
      </c>
      <c r="AD10" s="15"/>
      <c r="AE10" s="15"/>
      <c r="AF10" s="15"/>
      <c r="AG10" s="15"/>
      <c r="AH10" s="15"/>
      <c r="AI10" s="17">
        <f t="shared" si="4"/>
        <v>54000</v>
      </c>
      <c r="AJ10" s="15">
        <f>ROUND(K10/2,2)</f>
        <v>27000</v>
      </c>
      <c r="AK10" s="15">
        <f>K10-AJ10</f>
        <v>27000</v>
      </c>
      <c r="AL10" s="8">
        <f t="shared" ref="AL10:AL18" si="6">I10-AI10-AJ10-AK10-J10</f>
        <v>0</v>
      </c>
    </row>
    <row r="11" spans="2:38" ht="15.75" hidden="1" x14ac:dyDescent="0.25">
      <c r="B11" s="12">
        <v>6</v>
      </c>
      <c r="C11" s="13" t="s">
        <v>25</v>
      </c>
      <c r="D11" s="12"/>
      <c r="E11" s="12"/>
      <c r="F11" s="14"/>
      <c r="G11" s="20">
        <v>49</v>
      </c>
      <c r="H11" s="20"/>
      <c r="I11" s="15">
        <f>41519664*70%</f>
        <v>29063764.800000001</v>
      </c>
      <c r="J11" s="15">
        <f>I11*90%</f>
        <v>26157388.32</v>
      </c>
      <c r="K11" s="15">
        <f t="shared" si="2"/>
        <v>1453188.24</v>
      </c>
      <c r="L11" s="15">
        <f t="shared" si="3"/>
        <v>1453188.24</v>
      </c>
      <c r="M11" s="15"/>
      <c r="N11" s="15"/>
      <c r="O11" s="15"/>
      <c r="P11" s="15">
        <v>29063764.800000001</v>
      </c>
      <c r="Q11" s="15"/>
      <c r="R11" s="15"/>
      <c r="S11" s="15"/>
      <c r="T11" s="15"/>
      <c r="U11" s="15"/>
      <c r="V11" s="16">
        <f>M11+N11+O11+P11</f>
        <v>29063764.800000001</v>
      </c>
      <c r="W11" s="24">
        <v>42373</v>
      </c>
      <c r="X11" s="24">
        <v>42480</v>
      </c>
      <c r="Y11" s="15">
        <f>I11-V11</f>
        <v>0</v>
      </c>
      <c r="Z11" s="15">
        <f t="shared" si="5"/>
        <v>0</v>
      </c>
      <c r="AA11" s="15">
        <f t="shared" si="5"/>
        <v>0</v>
      </c>
      <c r="AB11" s="15">
        <f t="shared" si="5"/>
        <v>0</v>
      </c>
      <c r="AC11" s="15">
        <f t="shared" si="5"/>
        <v>1453188.24</v>
      </c>
      <c r="AD11" s="15"/>
      <c r="AE11" s="15"/>
      <c r="AF11" s="15"/>
      <c r="AG11" s="15"/>
      <c r="AH11" s="15"/>
      <c r="AI11" s="17">
        <f t="shared" si="4"/>
        <v>1453188.24</v>
      </c>
      <c r="AJ11" s="15">
        <f>ROUND(K11/2,2)</f>
        <v>726594.12</v>
      </c>
      <c r="AK11" s="15">
        <f>K11-AJ11</f>
        <v>726594.12</v>
      </c>
      <c r="AL11" s="8">
        <f t="shared" si="6"/>
        <v>0</v>
      </c>
    </row>
    <row r="12" spans="2:38" ht="15.75" hidden="1" x14ac:dyDescent="0.25">
      <c r="B12" s="98" t="s">
        <v>12</v>
      </c>
      <c r="C12" s="99"/>
      <c r="D12" s="99"/>
      <c r="E12" s="99"/>
      <c r="F12" s="100"/>
      <c r="G12" s="21"/>
      <c r="H12" s="21"/>
      <c r="I12" s="11">
        <f t="shared" ref="I12:V12" si="7">SUM(I5:I11)</f>
        <v>53764318.640000001</v>
      </c>
      <c r="J12" s="11">
        <f t="shared" si="7"/>
        <v>35868993.25</v>
      </c>
      <c r="K12" s="11">
        <f t="shared" si="7"/>
        <v>2688215.94</v>
      </c>
      <c r="L12" s="11">
        <f t="shared" si="7"/>
        <v>15207109.449999999</v>
      </c>
      <c r="M12" s="11">
        <f t="shared" si="7"/>
        <v>6418646.54</v>
      </c>
      <c r="N12" s="11">
        <f t="shared" si="7"/>
        <v>7102044.1699999999</v>
      </c>
      <c r="O12" s="11">
        <f t="shared" si="7"/>
        <v>5589931.5700000003</v>
      </c>
      <c r="P12" s="11">
        <f t="shared" si="7"/>
        <v>34653696.359999999</v>
      </c>
      <c r="Q12" s="11"/>
      <c r="R12" s="11"/>
      <c r="S12" s="11"/>
      <c r="T12" s="11"/>
      <c r="U12" s="11"/>
      <c r="V12" s="11">
        <f t="shared" si="7"/>
        <v>53764318.640000001</v>
      </c>
      <c r="W12" s="11"/>
      <c r="X12" s="11"/>
      <c r="Y12" s="11">
        <f t="shared" ref="Y12:AK12" si="8">SUM(Y5:Y11)</f>
        <v>0</v>
      </c>
      <c r="Z12" s="11">
        <f t="shared" si="8"/>
        <v>3722814.99</v>
      </c>
      <c r="AA12" s="11">
        <f t="shared" si="8"/>
        <v>3546785.61</v>
      </c>
      <c r="AB12" s="11">
        <f t="shared" si="8"/>
        <v>3242160.31</v>
      </c>
      <c r="AC12" s="11">
        <f t="shared" si="8"/>
        <v>4695348.54</v>
      </c>
      <c r="AD12" s="11"/>
      <c r="AE12" s="11"/>
      <c r="AF12" s="11"/>
      <c r="AG12" s="11"/>
      <c r="AH12" s="11"/>
      <c r="AI12" s="11">
        <f t="shared" si="8"/>
        <v>15207109.449999999</v>
      </c>
      <c r="AJ12" s="11">
        <f t="shared" si="8"/>
        <v>1344107.97</v>
      </c>
      <c r="AK12" s="11">
        <f t="shared" si="8"/>
        <v>1344107.97</v>
      </c>
      <c r="AL12" s="8">
        <f t="shared" si="6"/>
        <v>0</v>
      </c>
    </row>
    <row r="13" spans="2:38" ht="15.75" hidden="1" x14ac:dyDescent="0.25">
      <c r="B13" s="101" t="s">
        <v>11</v>
      </c>
      <c r="C13" s="102"/>
      <c r="D13" s="102"/>
      <c r="E13" s="102"/>
      <c r="F13" s="103"/>
      <c r="G13" s="22"/>
      <c r="H13" s="22"/>
      <c r="I13" s="9">
        <f>I12*18%</f>
        <v>9677577.3599999994</v>
      </c>
      <c r="J13" s="9">
        <f t="shared" ref="J13:AK13" si="9">J12*18%</f>
        <v>6456418.79</v>
      </c>
      <c r="K13" s="9">
        <f t="shared" si="9"/>
        <v>483878.87</v>
      </c>
      <c r="L13" s="9">
        <f t="shared" si="9"/>
        <v>2737279.7</v>
      </c>
      <c r="M13" s="9">
        <f t="shared" si="9"/>
        <v>1155356.3799999999</v>
      </c>
      <c r="N13" s="9">
        <f t="shared" si="9"/>
        <v>1278367.95</v>
      </c>
      <c r="O13" s="9">
        <f t="shared" si="9"/>
        <v>1006187.68</v>
      </c>
      <c r="P13" s="9">
        <f t="shared" si="9"/>
        <v>6237665.3399999999</v>
      </c>
      <c r="Q13" s="9"/>
      <c r="R13" s="9"/>
      <c r="S13" s="9"/>
      <c r="T13" s="9"/>
      <c r="U13" s="9"/>
      <c r="V13" s="9">
        <f t="shared" si="9"/>
        <v>9677577.3599999994</v>
      </c>
      <c r="W13" s="9"/>
      <c r="X13" s="9"/>
      <c r="Y13" s="9">
        <f t="shared" si="9"/>
        <v>0</v>
      </c>
      <c r="Z13" s="9">
        <f t="shared" si="9"/>
        <v>670106.69999999995</v>
      </c>
      <c r="AA13" s="9">
        <f t="shared" si="9"/>
        <v>638421.41</v>
      </c>
      <c r="AB13" s="9">
        <f t="shared" si="9"/>
        <v>583588.86</v>
      </c>
      <c r="AC13" s="9">
        <f t="shared" si="9"/>
        <v>845162.74</v>
      </c>
      <c r="AD13" s="9"/>
      <c r="AE13" s="9"/>
      <c r="AF13" s="9"/>
      <c r="AG13" s="9"/>
      <c r="AH13" s="9"/>
      <c r="AI13" s="9">
        <f>AI12*18%+0.01</f>
        <v>2737279.71</v>
      </c>
      <c r="AJ13" s="9">
        <f t="shared" si="9"/>
        <v>241939.43</v>
      </c>
      <c r="AK13" s="9">
        <f t="shared" si="9"/>
        <v>241939.43</v>
      </c>
      <c r="AL13" s="8">
        <f t="shared" si="6"/>
        <v>0</v>
      </c>
    </row>
    <row r="14" spans="2:38" ht="16.5" hidden="1" thickBot="1" x14ac:dyDescent="0.3">
      <c r="B14" s="86" t="s">
        <v>15</v>
      </c>
      <c r="C14" s="87"/>
      <c r="D14" s="87"/>
      <c r="E14" s="87"/>
      <c r="F14" s="88"/>
      <c r="G14" s="23"/>
      <c r="H14" s="23"/>
      <c r="I14" s="10">
        <f>I12+I13</f>
        <v>63441896</v>
      </c>
      <c r="J14" s="10">
        <f t="shared" ref="J14:AK14" si="10">J12+J13</f>
        <v>42325412.039999999</v>
      </c>
      <c r="K14" s="10">
        <f t="shared" si="10"/>
        <v>3172094.81</v>
      </c>
      <c r="L14" s="10">
        <f t="shared" si="10"/>
        <v>17944389.149999999</v>
      </c>
      <c r="M14" s="10">
        <f t="shared" si="10"/>
        <v>7574002.9199999999</v>
      </c>
      <c r="N14" s="10">
        <f t="shared" si="10"/>
        <v>8380412.1200000001</v>
      </c>
      <c r="O14" s="10">
        <f t="shared" si="10"/>
        <v>6596119.25</v>
      </c>
      <c r="P14" s="10">
        <f t="shared" si="10"/>
        <v>40891361.700000003</v>
      </c>
      <c r="Q14" s="10"/>
      <c r="R14" s="10"/>
      <c r="S14" s="10"/>
      <c r="T14" s="10"/>
      <c r="U14" s="10"/>
      <c r="V14" s="10">
        <f t="shared" si="10"/>
        <v>63441896</v>
      </c>
      <c r="W14" s="10"/>
      <c r="X14" s="10"/>
      <c r="Y14" s="10">
        <f t="shared" si="10"/>
        <v>0</v>
      </c>
      <c r="Z14" s="10">
        <f t="shared" si="10"/>
        <v>4392921.6900000004</v>
      </c>
      <c r="AA14" s="10">
        <f t="shared" si="10"/>
        <v>4185207.02</v>
      </c>
      <c r="AB14" s="10">
        <f t="shared" si="10"/>
        <v>3825749.17</v>
      </c>
      <c r="AC14" s="10">
        <f t="shared" si="10"/>
        <v>5540511.2800000003</v>
      </c>
      <c r="AD14" s="10"/>
      <c r="AE14" s="10"/>
      <c r="AF14" s="10"/>
      <c r="AG14" s="10"/>
      <c r="AH14" s="10"/>
      <c r="AI14" s="10">
        <f t="shared" si="10"/>
        <v>17944389.16</v>
      </c>
      <c r="AJ14" s="10">
        <f t="shared" si="10"/>
        <v>1586047.4</v>
      </c>
      <c r="AK14" s="10">
        <f t="shared" si="10"/>
        <v>1586047.4</v>
      </c>
      <c r="AL14" s="8">
        <f t="shared" si="6"/>
        <v>0</v>
      </c>
    </row>
    <row r="15" spans="2:38" hidden="1" x14ac:dyDescent="0.25">
      <c r="AL15" s="8">
        <f t="shared" si="6"/>
        <v>0</v>
      </c>
    </row>
    <row r="16" spans="2:38" ht="15.75" hidden="1" x14ac:dyDescent="0.25">
      <c r="J16" s="15">
        <f>41519664+1053000</f>
        <v>42572664</v>
      </c>
      <c r="AL16" s="8">
        <f t="shared" si="6"/>
        <v>-42572664</v>
      </c>
    </row>
    <row r="17" spans="1:38" hidden="1" x14ac:dyDescent="0.25">
      <c r="AL17" s="8">
        <f t="shared" si="6"/>
        <v>0</v>
      </c>
    </row>
    <row r="18" spans="1:38" hidden="1" x14ac:dyDescent="0.25">
      <c r="I18" s="8">
        <f>I5+I6+I7+I8</f>
        <v>23620553.84</v>
      </c>
      <c r="J18" s="8">
        <f>J14-J16</f>
        <v>-247251.96</v>
      </c>
      <c r="AL18" s="8">
        <f t="shared" si="6"/>
        <v>23867805.800000001</v>
      </c>
    </row>
    <row r="19" spans="1:38" ht="15.75" x14ac:dyDescent="0.25">
      <c r="B19" s="51"/>
      <c r="I19" s="8"/>
      <c r="J19" s="8"/>
      <c r="AK19" s="52" t="s">
        <v>42</v>
      </c>
      <c r="AL19" s="8"/>
    </row>
    <row r="20" spans="1:38" ht="15.75" x14ac:dyDescent="0.25">
      <c r="B20" s="51"/>
      <c r="I20" s="8"/>
      <c r="J20" s="8"/>
      <c r="AK20" s="52" t="s">
        <v>47</v>
      </c>
      <c r="AL20" s="8"/>
    </row>
    <row r="21" spans="1:38" ht="15.75" x14ac:dyDescent="0.25">
      <c r="B21" s="51"/>
      <c r="I21" s="8"/>
      <c r="J21" s="8"/>
      <c r="AK21" s="52"/>
      <c r="AL21" s="8"/>
    </row>
    <row r="22" spans="1:38" ht="15.75" x14ac:dyDescent="0.25">
      <c r="B22" s="51"/>
      <c r="I22" s="8"/>
      <c r="J22" s="8"/>
      <c r="AK22" s="52"/>
      <c r="AL22" s="8"/>
    </row>
    <row r="23" spans="1:38" ht="21" thickBot="1" x14ac:dyDescent="0.35">
      <c r="B23" s="95" t="s">
        <v>35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8"/>
    </row>
    <row r="24" spans="1:38" ht="36" customHeight="1" x14ac:dyDescent="0.25">
      <c r="A24" s="48"/>
      <c r="B24" s="96" t="s">
        <v>0</v>
      </c>
      <c r="C24" s="68" t="s">
        <v>1</v>
      </c>
      <c r="D24" s="68" t="s">
        <v>2</v>
      </c>
      <c r="E24" s="68" t="s">
        <v>3</v>
      </c>
      <c r="F24" s="68" t="s">
        <v>39</v>
      </c>
      <c r="G24" s="46" t="s">
        <v>7</v>
      </c>
      <c r="H24" s="46" t="s">
        <v>7</v>
      </c>
      <c r="I24" s="72" t="s">
        <v>19</v>
      </c>
      <c r="J24" s="89" t="s">
        <v>13</v>
      </c>
      <c r="K24" s="74" t="s">
        <v>5</v>
      </c>
      <c r="L24" s="74" t="s">
        <v>14</v>
      </c>
      <c r="M24" s="76" t="s">
        <v>16</v>
      </c>
      <c r="N24" s="77"/>
      <c r="O24" s="77"/>
      <c r="P24" s="77"/>
      <c r="Q24" s="77"/>
      <c r="R24" s="77"/>
      <c r="S24" s="77"/>
      <c r="T24" s="77"/>
      <c r="U24" s="77"/>
      <c r="V24" s="78"/>
      <c r="W24" s="79" t="s">
        <v>6</v>
      </c>
      <c r="X24" s="79"/>
      <c r="Y24" s="80" t="s">
        <v>7</v>
      </c>
      <c r="Z24" s="82" t="s">
        <v>34</v>
      </c>
      <c r="AA24" s="82"/>
      <c r="AB24" s="82"/>
      <c r="AC24" s="82"/>
      <c r="AD24" s="82"/>
      <c r="AE24" s="82"/>
      <c r="AF24" s="82"/>
      <c r="AG24" s="82"/>
      <c r="AH24" s="82"/>
      <c r="AI24" s="82"/>
      <c r="AJ24" s="83" t="s">
        <v>45</v>
      </c>
      <c r="AK24" s="70" t="s">
        <v>46</v>
      </c>
      <c r="AL24" s="8"/>
    </row>
    <row r="25" spans="1:38" ht="32.25" customHeight="1" x14ac:dyDescent="0.25">
      <c r="A25" s="49"/>
      <c r="B25" s="97"/>
      <c r="C25" s="69"/>
      <c r="D25" s="69"/>
      <c r="E25" s="69"/>
      <c r="F25" s="69"/>
      <c r="G25" s="47"/>
      <c r="H25" s="47"/>
      <c r="I25" s="73"/>
      <c r="J25" s="90"/>
      <c r="K25" s="75"/>
      <c r="L25" s="75"/>
      <c r="M25" s="3">
        <v>42401</v>
      </c>
      <c r="N25" s="3">
        <v>42430</v>
      </c>
      <c r="O25" s="3">
        <v>42461</v>
      </c>
      <c r="P25" s="3">
        <v>42491</v>
      </c>
      <c r="Q25" s="3">
        <v>42522</v>
      </c>
      <c r="R25" s="3">
        <v>42552</v>
      </c>
      <c r="S25" s="3">
        <v>42583</v>
      </c>
      <c r="T25" s="3">
        <v>42615</v>
      </c>
      <c r="U25" s="3"/>
      <c r="V25" s="4"/>
      <c r="W25" s="5" t="s">
        <v>9</v>
      </c>
      <c r="X25" s="5" t="s">
        <v>10</v>
      </c>
      <c r="Y25" s="81"/>
      <c r="Z25" s="6">
        <v>42430</v>
      </c>
      <c r="AA25" s="6">
        <v>42461</v>
      </c>
      <c r="AB25" s="6">
        <v>42491</v>
      </c>
      <c r="AC25" s="6">
        <v>42522</v>
      </c>
      <c r="AD25" s="6">
        <v>42552</v>
      </c>
      <c r="AE25" s="6">
        <v>42583</v>
      </c>
      <c r="AF25" s="6">
        <v>42614</v>
      </c>
      <c r="AG25" s="6">
        <v>42645</v>
      </c>
      <c r="AH25" s="6"/>
      <c r="AI25" s="7"/>
      <c r="AJ25" s="84"/>
      <c r="AK25" s="71"/>
      <c r="AL25" s="8"/>
    </row>
    <row r="26" spans="1:38" ht="15.75" x14ac:dyDescent="0.25">
      <c r="A26" s="49"/>
      <c r="B26" s="54">
        <v>1</v>
      </c>
      <c r="C26" s="55" t="s">
        <v>43</v>
      </c>
      <c r="D26" s="53" t="s">
        <v>44</v>
      </c>
      <c r="E26" s="53">
        <v>1</v>
      </c>
      <c r="F26" s="65"/>
      <c r="G26" s="66"/>
      <c r="H26" s="67"/>
      <c r="I26" s="65"/>
      <c r="J26" s="15"/>
      <c r="K26" s="15"/>
      <c r="L26" s="15"/>
      <c r="M26" s="15"/>
      <c r="N26" s="15"/>
      <c r="O26" s="15"/>
      <c r="P26" s="65"/>
      <c r="Q26" s="65"/>
      <c r="R26" s="65"/>
      <c r="S26" s="65"/>
      <c r="T26" s="65"/>
      <c r="U26" s="65"/>
      <c r="V26" s="16"/>
      <c r="W26" s="38"/>
      <c r="X26" s="38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7"/>
      <c r="AJ26" s="15"/>
      <c r="AK26" s="45"/>
      <c r="AL26" s="8" t="e">
        <f>#REF!-#REF!-#REF!-#REF!-#REF!</f>
        <v>#REF!</v>
      </c>
    </row>
    <row r="27" spans="1:38" ht="15.75" x14ac:dyDescent="0.25">
      <c r="A27" s="49"/>
      <c r="B27" s="39" t="s">
        <v>12</v>
      </c>
      <c r="C27" s="40"/>
      <c r="D27" s="40"/>
      <c r="E27" s="40"/>
      <c r="F27" s="11"/>
      <c r="G27" s="11" t="e">
        <f>SUM(#REF!)</f>
        <v>#REF!</v>
      </c>
      <c r="H27" s="2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56"/>
      <c r="X27" s="56"/>
      <c r="Y27" s="15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8"/>
    </row>
    <row r="28" spans="1:38" ht="15.75" x14ac:dyDescent="0.25">
      <c r="A28" s="49"/>
      <c r="B28" s="39" t="s">
        <v>11</v>
      </c>
      <c r="C28" s="40"/>
      <c r="D28" s="40"/>
      <c r="E28" s="40"/>
      <c r="F28" s="9"/>
      <c r="G28" s="9" t="e">
        <f>G27*18%</f>
        <v>#REF!</v>
      </c>
      <c r="H28" s="22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57"/>
      <c r="X28" s="57"/>
      <c r="Y28" s="15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8"/>
    </row>
    <row r="29" spans="1:38" ht="16.5" thickBot="1" x14ac:dyDescent="0.3">
      <c r="A29" s="50"/>
      <c r="B29" s="41" t="s">
        <v>15</v>
      </c>
      <c r="C29" s="42"/>
      <c r="D29" s="42"/>
      <c r="E29" s="42"/>
      <c r="F29" s="10"/>
      <c r="G29" s="10" t="e">
        <f>G27+G28</f>
        <v>#REF!</v>
      </c>
      <c r="H29" s="23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58"/>
      <c r="X29" s="58"/>
      <c r="Y29" s="15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8"/>
    </row>
    <row r="30" spans="1:38" x14ac:dyDescent="0.25">
      <c r="F30" s="59" t="s">
        <v>41</v>
      </c>
      <c r="G30" s="60"/>
      <c r="H30" s="59"/>
      <c r="I30" s="60"/>
      <c r="AL30" s="8"/>
    </row>
    <row r="31" spans="1:38" hidden="1" x14ac:dyDescent="0.25">
      <c r="F31" s="59"/>
      <c r="G31" s="60"/>
      <c r="H31" s="59"/>
      <c r="I31" s="59"/>
      <c r="AL31" s="8">
        <f t="shared" ref="AL31:AL55" si="11">I31-AI31-AJ31-AK31-J31</f>
        <v>0</v>
      </c>
    </row>
    <row r="32" spans="1:38" hidden="1" x14ac:dyDescent="0.25">
      <c r="F32" s="59"/>
      <c r="G32" s="59"/>
      <c r="H32" s="59"/>
      <c r="I32" s="59"/>
      <c r="J32" t="s">
        <v>28</v>
      </c>
      <c r="K32" t="s">
        <v>29</v>
      </c>
      <c r="AL32" s="8" t="e">
        <f t="shared" si="11"/>
        <v>#VALUE!</v>
      </c>
    </row>
    <row r="33" spans="3:38" ht="31.5" hidden="1" x14ac:dyDescent="0.25">
      <c r="C33" s="13" t="s">
        <v>20</v>
      </c>
      <c r="D33" s="15" t="s">
        <v>32</v>
      </c>
      <c r="E33" s="15">
        <v>112.89</v>
      </c>
      <c r="F33" s="61">
        <f>I33/E33</f>
        <v>144661.20000000001</v>
      </c>
      <c r="G33" s="61">
        <f>E33*F33</f>
        <v>16330802.869999999</v>
      </c>
      <c r="H33" s="61"/>
      <c r="I33" s="61">
        <v>16330803.390000001</v>
      </c>
      <c r="J33" s="15">
        <f>I33*30%</f>
        <v>4899241.0199999996</v>
      </c>
      <c r="K33" s="15">
        <f>I33*70%</f>
        <v>11431562.369999999</v>
      </c>
      <c r="L33" s="15">
        <f>I33+I34+I36+I37+I38</f>
        <v>51037807.450000003</v>
      </c>
      <c r="M33" s="15"/>
      <c r="N33" s="15"/>
      <c r="O33" s="15"/>
      <c r="P33" s="15"/>
      <c r="Q33" s="15"/>
      <c r="R33" s="15"/>
      <c r="S33" s="15"/>
      <c r="T33" s="15"/>
      <c r="U33" s="15"/>
      <c r="V33" s="15"/>
      <c r="AL33" s="8">
        <f t="shared" si="11"/>
        <v>11431562.369999999</v>
      </c>
    </row>
    <row r="34" spans="3:38" ht="15.75" hidden="1" x14ac:dyDescent="0.25">
      <c r="C34" s="13" t="s">
        <v>30</v>
      </c>
      <c r="D34" s="15" t="s">
        <v>33</v>
      </c>
      <c r="E34" s="15"/>
      <c r="F34" s="61"/>
      <c r="G34" s="61"/>
      <c r="H34" s="61"/>
      <c r="I34" s="61">
        <v>32565732.199999999</v>
      </c>
      <c r="J34" s="15">
        <f>I34*30%</f>
        <v>9769719.6600000001</v>
      </c>
      <c r="K34" s="15">
        <f>I34*70%</f>
        <v>22796012.539999999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AL34" s="8">
        <f t="shared" si="11"/>
        <v>22796012.539999999</v>
      </c>
    </row>
    <row r="35" spans="3:38" ht="78.75" hidden="1" x14ac:dyDescent="0.25">
      <c r="C35" s="13" t="s">
        <v>21</v>
      </c>
      <c r="D35" s="15" t="s">
        <v>33</v>
      </c>
      <c r="E35" s="15"/>
      <c r="F35" s="61"/>
      <c r="G35" s="61"/>
      <c r="H35" s="61"/>
      <c r="I35" s="61">
        <f>22881.36*84</f>
        <v>1922034.24</v>
      </c>
      <c r="J35" s="15">
        <f>I35*30%</f>
        <v>576610.27</v>
      </c>
      <c r="K35" s="15">
        <f>I35*70%</f>
        <v>1345423.97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AL35" s="8">
        <f t="shared" si="11"/>
        <v>1345423.97</v>
      </c>
    </row>
    <row r="36" spans="3:38" ht="15.75" hidden="1" x14ac:dyDescent="0.25">
      <c r="C36" t="s">
        <v>31</v>
      </c>
      <c r="D36" s="15"/>
      <c r="E36" s="15"/>
      <c r="F36" s="61"/>
      <c r="G36" s="61"/>
      <c r="H36" s="61"/>
      <c r="I36" s="61">
        <v>388737.29</v>
      </c>
      <c r="J36" s="15">
        <f>I36</f>
        <v>388737.29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AL36" s="8">
        <f t="shared" si="11"/>
        <v>0</v>
      </c>
    </row>
    <row r="37" spans="3:38" ht="78.75" hidden="1" x14ac:dyDescent="0.25">
      <c r="C37" s="13" t="s">
        <v>21</v>
      </c>
      <c r="D37" s="15"/>
      <c r="E37" s="15"/>
      <c r="F37" s="61"/>
      <c r="G37" s="61"/>
      <c r="H37" s="61"/>
      <c r="I37" s="61">
        <v>1355932.2</v>
      </c>
      <c r="J37" s="15">
        <f>I37</f>
        <v>1355932.2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AL37" s="8">
        <f t="shared" si="11"/>
        <v>0</v>
      </c>
    </row>
    <row r="38" spans="3:38" ht="31.5" hidden="1" x14ac:dyDescent="0.25">
      <c r="C38" s="13" t="s">
        <v>22</v>
      </c>
      <c r="D38" s="15"/>
      <c r="E38" s="15"/>
      <c r="F38" s="61"/>
      <c r="G38" s="61"/>
      <c r="H38" s="61"/>
      <c r="I38" s="61">
        <v>396602.37</v>
      </c>
      <c r="J38" s="15">
        <f>I38</f>
        <v>396602.37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AL38" s="8">
        <f t="shared" si="11"/>
        <v>0</v>
      </c>
    </row>
    <row r="39" spans="3:38" ht="15.75" hidden="1" x14ac:dyDescent="0.25">
      <c r="D39" s="15"/>
      <c r="E39" s="15"/>
      <c r="F39" s="61"/>
      <c r="G39" s="61"/>
      <c r="H39" s="61"/>
      <c r="I39" s="61">
        <f>I33+I34+I35+I36+I37+I38</f>
        <v>52959841.689999998</v>
      </c>
      <c r="J39" s="15">
        <f t="shared" ref="J39:K39" si="12">J33+J34+J35+J36+J37+J38</f>
        <v>17386842.809999999</v>
      </c>
      <c r="K39" s="15">
        <f t="shared" si="12"/>
        <v>35572998.880000003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AL39" s="8">
        <f t="shared" si="11"/>
        <v>35572998.880000003</v>
      </c>
    </row>
    <row r="40" spans="3:38" ht="15.75" hidden="1" x14ac:dyDescent="0.25">
      <c r="F40" s="59"/>
      <c r="G40" s="59"/>
      <c r="H40" s="59"/>
      <c r="I40" s="6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AL40" s="8">
        <f t="shared" si="11"/>
        <v>0</v>
      </c>
    </row>
    <row r="41" spans="3:38" ht="15.75" hidden="1" x14ac:dyDescent="0.25">
      <c r="F41" s="59"/>
      <c r="G41" s="59"/>
      <c r="H41" s="59"/>
      <c r="I41" s="6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AL41" s="8">
        <f t="shared" si="11"/>
        <v>0</v>
      </c>
    </row>
    <row r="42" spans="3:38" ht="15.75" hidden="1" x14ac:dyDescent="0.25">
      <c r="F42" s="59"/>
      <c r="G42" s="59"/>
      <c r="H42" s="59"/>
      <c r="I42" s="6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AL42" s="8">
        <f t="shared" si="11"/>
        <v>0</v>
      </c>
    </row>
    <row r="43" spans="3:38" ht="15.75" hidden="1" x14ac:dyDescent="0.25">
      <c r="F43" s="59"/>
      <c r="G43" s="59"/>
      <c r="H43" s="59"/>
      <c r="I43" s="6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AL43" s="8">
        <f t="shared" si="11"/>
        <v>0</v>
      </c>
    </row>
    <row r="44" spans="3:38" ht="15.75" hidden="1" x14ac:dyDescent="0.25">
      <c r="F44" s="59"/>
      <c r="G44" s="59"/>
      <c r="H44" s="59"/>
      <c r="I44" s="6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AL44" s="8">
        <f t="shared" si="11"/>
        <v>0</v>
      </c>
    </row>
    <row r="45" spans="3:38" ht="15.75" hidden="1" x14ac:dyDescent="0.25">
      <c r="F45" s="59"/>
      <c r="G45" s="59"/>
      <c r="H45" s="59"/>
      <c r="I45" s="6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AL45" s="8">
        <f t="shared" si="11"/>
        <v>0</v>
      </c>
    </row>
    <row r="46" spans="3:38" ht="15.75" hidden="1" x14ac:dyDescent="0.25">
      <c r="F46" s="59"/>
      <c r="G46" s="59"/>
      <c r="H46" s="59"/>
      <c r="I46" s="6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AL46" s="8">
        <f t="shared" si="11"/>
        <v>0</v>
      </c>
    </row>
    <row r="47" spans="3:38" ht="15.75" hidden="1" x14ac:dyDescent="0.25">
      <c r="F47" s="59"/>
      <c r="G47" s="59"/>
      <c r="H47" s="59"/>
      <c r="I47" s="6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AL47" s="8">
        <f t="shared" si="11"/>
        <v>0</v>
      </c>
    </row>
    <row r="48" spans="3:38" ht="15.75" hidden="1" x14ac:dyDescent="0.25">
      <c r="F48" s="59"/>
      <c r="G48" s="59"/>
      <c r="H48" s="59"/>
      <c r="I48" s="6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AL48" s="8">
        <f t="shared" si="11"/>
        <v>0</v>
      </c>
    </row>
    <row r="49" spans="4:38" ht="15.75" hidden="1" x14ac:dyDescent="0.25">
      <c r="F49" s="59"/>
      <c r="G49" s="59"/>
      <c r="H49" s="59"/>
      <c r="I49" s="61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AL49" s="8">
        <f t="shared" si="11"/>
        <v>0</v>
      </c>
    </row>
    <row r="50" spans="4:38" ht="15.75" hidden="1" x14ac:dyDescent="0.25">
      <c r="F50" s="59"/>
      <c r="G50" s="59"/>
      <c r="H50" s="59"/>
      <c r="I50" s="61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AL50" s="8">
        <f t="shared" si="11"/>
        <v>0</v>
      </c>
    </row>
    <row r="51" spans="4:38" ht="15.75" hidden="1" x14ac:dyDescent="0.25">
      <c r="F51" s="59"/>
      <c r="G51" s="59"/>
      <c r="H51" s="59"/>
      <c r="I51" s="61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AL51" s="8">
        <f t="shared" si="11"/>
        <v>0</v>
      </c>
    </row>
    <row r="52" spans="4:38" ht="15.75" hidden="1" x14ac:dyDescent="0.25">
      <c r="F52" s="59"/>
      <c r="G52" s="59"/>
      <c r="H52" s="59"/>
      <c r="I52" s="61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AL52" s="8">
        <f t="shared" si="11"/>
        <v>0</v>
      </c>
    </row>
    <row r="53" spans="4:38" hidden="1" x14ac:dyDescent="0.25">
      <c r="F53" s="59"/>
      <c r="G53" s="59"/>
      <c r="H53" s="59"/>
      <c r="I53" s="59"/>
      <c r="AL53" s="8">
        <f t="shared" si="11"/>
        <v>0</v>
      </c>
    </row>
    <row r="54" spans="4:38" hidden="1" x14ac:dyDescent="0.25">
      <c r="F54" s="59"/>
      <c r="G54" s="59"/>
      <c r="H54" s="59"/>
      <c r="I54" s="59"/>
      <c r="AL54" s="8">
        <f t="shared" si="11"/>
        <v>0</v>
      </c>
    </row>
    <row r="55" spans="4:38" x14ac:dyDescent="0.25">
      <c r="F55" s="60" t="s">
        <v>40</v>
      </c>
      <c r="G55" s="59"/>
      <c r="H55" s="59"/>
      <c r="I55" s="60">
        <f>I29-I30</f>
        <v>0</v>
      </c>
      <c r="AB55" s="8"/>
      <c r="AL55" s="8">
        <f t="shared" si="11"/>
        <v>0</v>
      </c>
    </row>
    <row r="56" spans="4:38" hidden="1" x14ac:dyDescent="0.25">
      <c r="AL56" s="8">
        <f t="shared" ref="AL56:AL79" si="13">I56-AI56-AJ56-AK56-J56</f>
        <v>0</v>
      </c>
    </row>
    <row r="57" spans="4:38" hidden="1" x14ac:dyDescent="0.25">
      <c r="AL57" s="8">
        <f t="shared" si="13"/>
        <v>0</v>
      </c>
    </row>
    <row r="58" spans="4:38" hidden="1" x14ac:dyDescent="0.25">
      <c r="I58" s="8"/>
      <c r="AL58" s="8">
        <f t="shared" si="13"/>
        <v>0</v>
      </c>
    </row>
    <row r="59" spans="4:38" hidden="1" x14ac:dyDescent="0.25">
      <c r="K59" s="8"/>
      <c r="AL59" s="8">
        <f t="shared" si="13"/>
        <v>0</v>
      </c>
    </row>
    <row r="60" spans="4:38" hidden="1" x14ac:dyDescent="0.25">
      <c r="AL60" s="8">
        <f t="shared" si="13"/>
        <v>0</v>
      </c>
    </row>
    <row r="61" spans="4:38" hidden="1" x14ac:dyDescent="0.25">
      <c r="AL61" s="8">
        <f t="shared" si="13"/>
        <v>0</v>
      </c>
    </row>
    <row r="62" spans="4:38" hidden="1" x14ac:dyDescent="0.25">
      <c r="AL62" s="8">
        <f t="shared" si="13"/>
        <v>0</v>
      </c>
    </row>
    <row r="63" spans="4:38" hidden="1" x14ac:dyDescent="0.25">
      <c r="D63" t="e">
        <f>#REF!*#REF!</f>
        <v>#REF!</v>
      </c>
      <c r="AL63" s="8">
        <f t="shared" si="13"/>
        <v>0</v>
      </c>
    </row>
    <row r="64" spans="4:38" hidden="1" x14ac:dyDescent="0.25">
      <c r="AL64" s="8">
        <f t="shared" si="13"/>
        <v>0</v>
      </c>
    </row>
    <row r="65" spans="2:38" hidden="1" x14ac:dyDescent="0.25">
      <c r="AL65" s="8">
        <f t="shared" si="13"/>
        <v>0</v>
      </c>
    </row>
    <row r="66" spans="2:38" hidden="1" x14ac:dyDescent="0.25">
      <c r="AL66" s="8">
        <f t="shared" si="13"/>
        <v>0</v>
      </c>
    </row>
    <row r="67" spans="2:38" hidden="1" x14ac:dyDescent="0.25">
      <c r="AL67" s="8">
        <f t="shared" si="13"/>
        <v>0</v>
      </c>
    </row>
    <row r="68" spans="2:38" hidden="1" x14ac:dyDescent="0.25">
      <c r="AL68" s="8">
        <f t="shared" si="13"/>
        <v>0</v>
      </c>
    </row>
    <row r="69" spans="2:38" hidden="1" x14ac:dyDescent="0.25">
      <c r="AL69" s="8">
        <f t="shared" si="13"/>
        <v>0</v>
      </c>
    </row>
    <row r="70" spans="2:38" hidden="1" x14ac:dyDescent="0.25">
      <c r="AL70" s="8">
        <f t="shared" si="13"/>
        <v>0</v>
      </c>
    </row>
    <row r="71" spans="2:38" hidden="1" x14ac:dyDescent="0.25">
      <c r="AL71" s="8">
        <f t="shared" si="13"/>
        <v>0</v>
      </c>
    </row>
    <row r="72" spans="2:38" hidden="1" x14ac:dyDescent="0.25">
      <c r="AL72" s="8">
        <f t="shared" si="13"/>
        <v>0</v>
      </c>
    </row>
    <row r="73" spans="2:38" hidden="1" x14ac:dyDescent="0.25">
      <c r="AL73" s="8">
        <f t="shared" si="13"/>
        <v>0</v>
      </c>
    </row>
    <row r="74" spans="2:38" hidden="1" x14ac:dyDescent="0.25">
      <c r="AL74" s="8">
        <f t="shared" si="13"/>
        <v>0</v>
      </c>
    </row>
    <row r="75" spans="2:38" hidden="1" x14ac:dyDescent="0.25">
      <c r="AL75" s="8">
        <f t="shared" si="13"/>
        <v>0</v>
      </c>
    </row>
    <row r="76" spans="2:38" hidden="1" x14ac:dyDescent="0.25">
      <c r="AL76" s="8">
        <f t="shared" si="13"/>
        <v>0</v>
      </c>
    </row>
    <row r="77" spans="2:38" hidden="1" x14ac:dyDescent="0.25">
      <c r="AL77" s="8">
        <f t="shared" si="13"/>
        <v>0</v>
      </c>
    </row>
    <row r="78" spans="2:38" hidden="1" x14ac:dyDescent="0.25">
      <c r="AL78" s="8">
        <f t="shared" si="13"/>
        <v>0</v>
      </c>
    </row>
    <row r="79" spans="2:38" hidden="1" x14ac:dyDescent="0.25">
      <c r="AL79" s="8">
        <f t="shared" si="13"/>
        <v>0</v>
      </c>
    </row>
    <row r="80" spans="2:38" x14ac:dyDescent="0.25">
      <c r="B80" s="85" t="s">
        <v>36</v>
      </c>
      <c r="C80" s="85"/>
      <c r="F80" s="8"/>
      <c r="O80" s="8"/>
      <c r="P80" s="8"/>
      <c r="Q80" s="8"/>
      <c r="R80" s="8"/>
      <c r="S80" s="8"/>
      <c r="T80" s="8"/>
      <c r="U80" s="8"/>
    </row>
    <row r="81" spans="2:24" x14ac:dyDescent="0.25">
      <c r="B81" s="43" t="s">
        <v>37</v>
      </c>
      <c r="F81" s="8"/>
    </row>
    <row r="82" spans="2:24" x14ac:dyDescent="0.25">
      <c r="B82" s="44"/>
      <c r="I82" s="8"/>
    </row>
    <row r="83" spans="2:24" x14ac:dyDescent="0.25">
      <c r="B83" s="85" t="s">
        <v>38</v>
      </c>
      <c r="C83" s="85"/>
    </row>
    <row r="84" spans="2:24" x14ac:dyDescent="0.25">
      <c r="B84" s="43" t="s">
        <v>48</v>
      </c>
    </row>
    <row r="92" spans="2:24" x14ac:dyDescent="0.25"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</row>
    <row r="93" spans="2:24" x14ac:dyDescent="0.25"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</row>
    <row r="94" spans="2:24" x14ac:dyDescent="0.25"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</row>
    <row r="95" spans="2:24" x14ac:dyDescent="0.25"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</row>
    <row r="96" spans="2:24" x14ac:dyDescent="0.25">
      <c r="E96" s="62"/>
      <c r="F96" s="62"/>
      <c r="G96" s="62"/>
      <c r="H96" s="62"/>
      <c r="I96" s="63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</row>
    <row r="97" spans="5:24" x14ac:dyDescent="0.25"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</row>
    <row r="98" spans="5:24" x14ac:dyDescent="0.25">
      <c r="E98" s="62"/>
      <c r="F98" s="63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</row>
    <row r="99" spans="5:24" x14ac:dyDescent="0.25">
      <c r="E99" s="62"/>
      <c r="F99" s="63">
        <v>715530.89</v>
      </c>
      <c r="G99" s="63"/>
      <c r="H99" s="63"/>
      <c r="I99" s="63">
        <f>F99*18%</f>
        <v>128795.56</v>
      </c>
      <c r="J99" s="63">
        <f>F99+I99</f>
        <v>844326.45</v>
      </c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</row>
    <row r="100" spans="5:24" x14ac:dyDescent="0.25">
      <c r="E100" s="62"/>
      <c r="F100" s="62">
        <f>320401.98</f>
        <v>320401.98</v>
      </c>
      <c r="G100" s="63"/>
      <c r="H100" s="63"/>
      <c r="I100" s="63">
        <f>F100*18%</f>
        <v>57672.36</v>
      </c>
      <c r="J100" s="63">
        <f>F100+I100</f>
        <v>378074.34</v>
      </c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</row>
    <row r="101" spans="5:24" x14ac:dyDescent="0.25">
      <c r="E101" s="62"/>
      <c r="F101" s="63">
        <v>144515.57</v>
      </c>
      <c r="G101" s="63"/>
      <c r="H101" s="63"/>
      <c r="I101" s="63">
        <f t="shared" ref="I101:I104" si="14">F101*18%</f>
        <v>26012.799999999999</v>
      </c>
      <c r="J101" s="63">
        <f t="shared" ref="J101:J104" si="15">F101+I101</f>
        <v>170528.37</v>
      </c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</row>
    <row r="102" spans="5:24" x14ac:dyDescent="0.25">
      <c r="E102" s="62"/>
      <c r="F102" s="63">
        <v>1829680.94</v>
      </c>
      <c r="G102" s="63"/>
      <c r="H102" s="63"/>
      <c r="I102" s="63">
        <f t="shared" si="14"/>
        <v>329342.57</v>
      </c>
      <c r="J102" s="63">
        <f t="shared" si="15"/>
        <v>2159023.5099999998</v>
      </c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</row>
    <row r="103" spans="5:24" x14ac:dyDescent="0.25">
      <c r="E103" s="62"/>
      <c r="F103" s="63">
        <v>2886595.77</v>
      </c>
      <c r="G103" s="63"/>
      <c r="H103" s="63"/>
      <c r="I103" s="63">
        <f t="shared" si="14"/>
        <v>519587.24</v>
      </c>
      <c r="J103" s="63">
        <f t="shared" si="15"/>
        <v>3406183.01</v>
      </c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</row>
    <row r="104" spans="5:24" x14ac:dyDescent="0.25">
      <c r="E104" s="62"/>
      <c r="F104" s="63">
        <v>1647594.78</v>
      </c>
      <c r="G104" s="63"/>
      <c r="H104" s="63"/>
      <c r="I104" s="63">
        <f t="shared" si="14"/>
        <v>296567.06</v>
      </c>
      <c r="J104" s="63">
        <f t="shared" si="15"/>
        <v>1944161.84</v>
      </c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</row>
    <row r="105" spans="5:24" x14ac:dyDescent="0.25">
      <c r="E105" s="62"/>
      <c r="F105" s="64">
        <f>F100+F101+F102+F103+F104+F99</f>
        <v>7544319.9299999997</v>
      </c>
      <c r="G105" s="64">
        <f t="shared" ref="G105" si="16">G100+G101+G102+G103+G104+G99</f>
        <v>0</v>
      </c>
      <c r="H105" s="64">
        <f t="shared" ref="H105" si="17">H100+H101+H102+H103+H104+H99</f>
        <v>0</v>
      </c>
      <c r="I105" s="64">
        <f t="shared" ref="I105" si="18">I100+I101+I102+I103+I104+I99</f>
        <v>1357977.59</v>
      </c>
      <c r="J105" s="64">
        <f>J100+J101+J102+J103+J104+J99</f>
        <v>8902297.5199999996</v>
      </c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</row>
    <row r="106" spans="5:24" x14ac:dyDescent="0.25"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</row>
    <row r="107" spans="5:24" x14ac:dyDescent="0.25"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</row>
    <row r="108" spans="5:24" x14ac:dyDescent="0.25"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</row>
    <row r="109" spans="5:24" x14ac:dyDescent="0.25"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</row>
    <row r="110" spans="5:24" x14ac:dyDescent="0.25"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</row>
    <row r="111" spans="5:24" x14ac:dyDescent="0.25"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</row>
    <row r="112" spans="5:24" x14ac:dyDescent="0.25"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</row>
    <row r="113" spans="5:24" x14ac:dyDescent="0.25"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</row>
    <row r="114" spans="5:24" x14ac:dyDescent="0.25"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</row>
    <row r="115" spans="5:24" x14ac:dyDescent="0.25"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</row>
    <row r="116" spans="5:24" x14ac:dyDescent="0.25"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</row>
    <row r="117" spans="5:24" x14ac:dyDescent="0.25"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</row>
    <row r="118" spans="5:24" x14ac:dyDescent="0.25"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</row>
    <row r="119" spans="5:24" x14ac:dyDescent="0.25"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</row>
    <row r="120" spans="5:24" x14ac:dyDescent="0.25"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</row>
    <row r="121" spans="5:24" x14ac:dyDescent="0.25"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</row>
    <row r="122" spans="5:24" x14ac:dyDescent="0.25"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</row>
    <row r="123" spans="5:24" x14ac:dyDescent="0.25"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</row>
    <row r="124" spans="5:24" x14ac:dyDescent="0.25"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</row>
    <row r="125" spans="5:24" x14ac:dyDescent="0.25"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</row>
    <row r="126" spans="5:24" x14ac:dyDescent="0.25"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</row>
    <row r="127" spans="5:24" x14ac:dyDescent="0.25"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</row>
    <row r="128" spans="5:24" x14ac:dyDescent="0.25"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</row>
    <row r="129" spans="5:24" x14ac:dyDescent="0.25"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</row>
    <row r="130" spans="5:24" x14ac:dyDescent="0.25"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</row>
  </sheetData>
  <mergeCells count="35">
    <mergeCell ref="B13:F13"/>
    <mergeCell ref="I2:I3"/>
    <mergeCell ref="K2:K3"/>
    <mergeCell ref="W2:X2"/>
    <mergeCell ref="Y2:Y3"/>
    <mergeCell ref="M2:V2"/>
    <mergeCell ref="L2:L3"/>
    <mergeCell ref="B2:B3"/>
    <mergeCell ref="C2:C3"/>
    <mergeCell ref="B80:C80"/>
    <mergeCell ref="B83:C83"/>
    <mergeCell ref="Z2:AI2"/>
    <mergeCell ref="AJ2:AJ3"/>
    <mergeCell ref="B14:F14"/>
    <mergeCell ref="J24:J25"/>
    <mergeCell ref="E24:E25"/>
    <mergeCell ref="F24:F25"/>
    <mergeCell ref="D2:D3"/>
    <mergeCell ref="E2:E3"/>
    <mergeCell ref="F2:F3"/>
    <mergeCell ref="B23:AK23"/>
    <mergeCell ref="B24:B25"/>
    <mergeCell ref="C24:C25"/>
    <mergeCell ref="AK2:AK3"/>
    <mergeCell ref="B12:F12"/>
    <mergeCell ref="D24:D25"/>
    <mergeCell ref="AK24:AK25"/>
    <mergeCell ref="I24:I25"/>
    <mergeCell ref="K24:K25"/>
    <mergeCell ref="L24:L25"/>
    <mergeCell ref="M24:V24"/>
    <mergeCell ref="W24:X24"/>
    <mergeCell ref="Y24:Y25"/>
    <mergeCell ref="Z24:AI24"/>
    <mergeCell ref="AJ24:AJ25"/>
  </mergeCells>
  <pageMargins left="0.70866141732283472" right="0.11811023622047245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2017-05-11T09:50:48Z</dcterms:modified>
</cp:coreProperties>
</file>